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<sst xmlns="http://schemas.openxmlformats.org/spreadsheetml/2006/main" count="4338" uniqueCount="1023">
  <si>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</si>
  <si>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</si>
  <si>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</si>
  <si>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</si>
  <si>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</si>
  <si>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</si>
  <si>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</si>
  <si>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</si>
  <si>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</si>
  <si>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</si>
  <si>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</si>
  <si>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</si>
  <si>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</si>
  <si>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</si>
  <si>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</si>
  <si>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</si>
  <si>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</si>
  <si>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</si>
  <si>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</si>
  <si>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</si>
  <si>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</si>
  <si>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</si>
  <si>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</si>
  <si>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</si>
  <si>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</si>
  <si>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</si>
  <si>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</si>
  <si>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</si>
  <si>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</si>
  <si>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</si>
  <si>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</si>
  <si>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</si>
  <si>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</si>
  <si>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</si>
  <si>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</si>
  <si>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</si>
  <si>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</si>
  <si>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</si>
  <si>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</si>
  <si>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</si>
  <si>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</si>
  <si>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</si>
  <si>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</si>
  <si>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</si>
  <si>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</si>
  <si>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</si>
  <si>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</si>
  <si>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</si>
  <si>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</si>
  <si>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</si>
  <si>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</si>
  <si>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</si>
  <si>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</si>
  <si>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</si>
  <si>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</si>
  <si>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</si>
  <si>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</si>
  <si>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</si>
  <si>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</si>
  <si>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</si>
  <si>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</si>
  <si>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</si>
  <si>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</si>
  <si>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</si>
  <si>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</si>
  <si>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</si>
  <si>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</si>
  <si>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</si>
  <si>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</si>
  <si>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</si>
  <si>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</si>
  <si>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</si>
  <si>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</si>
  <si>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</si>
  <si>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</si>
  <si>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</si>
  <si>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</si>
  <si>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</si>
  <si>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</si>
  <si>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</si>
  <si>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</si>
  <si>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</si>
  <si>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</si>
  <si>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</si>
  <si>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</si>
  <si>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</si>
  <si>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</si>
  <si>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</si>
  <si>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</si>
  <si>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</si>
  <si>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</si>
  <si>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</si>
  <si>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</si>
  <si>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</si>
  <si>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</si>
  <si>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</si>
  <si>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</si>
  <si>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</si>
  <si>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</si>
  <si>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</si>
  <si>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</si>
  <si>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</si>
  <si>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</si>
  <si>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</si>
  <si>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</si>
  <si>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</si>
  <si>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</si>
  <si>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</si>
  <si>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</si>
  <si>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</si>
  <si>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</si>
  <si>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</si>
  <si>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</si>
  <si>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</si>
  <si>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</si>
  <si>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</si>
  <si>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</si>
  <si>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</si>
  <si>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</si>
  <si>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</si>
  <si>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</si>
  <si>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</si>
  <si>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</si>
  <si>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</si>
  <si>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</si>
  <si>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</si>
  <si>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</si>
  <si>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</si>
  <si>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</si>
  <si>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</si>
  <si>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</si>
  <si>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</si>
  <si>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</si>
  <si>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</si>
  <si>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</si>
  <si>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</si>
  <si>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</si>
  <si>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</si>
  <si>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</si>
  <si>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</si>
  <si>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</si>
  <si>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</si>
  <si>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</si>
  <si>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</si>
  <si>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</si>
  <si>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</si>
  <si>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</si>
  <si>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</si>
  <si>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</si>
  <si>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</si>
  <si>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</si>
  <si>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</si>
  <si>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</si>
  <si>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</si>
  <si>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</si>
  <si>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</si>
  <si>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</si>
  <si>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</si>
  <si>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</si>
  <si>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</si>
  <si>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</si>
  <si>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</si>
  <si>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</si>
  <si>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</si>
  <si>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</si>
  <si>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</si>
  <si>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</si>
  <si>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</si>
  <si>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</si>
  <si>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</si>
  <si>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</si>
  <si>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</si>
  <si>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</si>
  <si>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</si>
  <si>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</si>
  <si>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</si>
  <si>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</si>
  <si>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</si>
  <si>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</si>
  <si>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</si>
  <si>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</si>
  <si>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</si>
  <si>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</si>
  <si>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</si>
  <si>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</si>
  <si>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</si>
  <si>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</si>
  <si>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</si>
  <si>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</si>
  <si>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</si>
  <si>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</si>
  <si>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</si>
  <si>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</si>
  <si>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</si>
  <si>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</si>
  <si>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</si>
  <si>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</si>
  <si>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</si>
  <si>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</si>
  <si>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</si>
  <si>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</si>
  <si>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</si>
  <si>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</si>
  <si>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</si>
  <si>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</si>
  <si>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</si>
  <si>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</si>
  <si>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</si>
  <si>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</si>
  <si>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</si>
  <si>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</si>
  <si>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</si>
  <si>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</si>
  <si>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</si>
  <si>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</si>
  <si>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</si>
  <si>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</si>
  <si>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</si>
  <si>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</si>
  <si>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</si>
  <si>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</si>
  <si>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</si>
  <si>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</si>
  <si>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</si>
  <si>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</si>
  <si>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</si>
  <si>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</si>
  <si>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</si>
  <si>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</si>
  <si>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</si>
  <si>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</si>
  <si>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</si>
  <si>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</si>
  <si>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</si>
  <si>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</si>
  <si>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</si>
  <si>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</si>
  <si>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</si>
  <si>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</si>
  <si>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</si>
  <si>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</si>
  <si>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</si>
  <si>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</si>
  <si>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</si>
  <si>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</si>
  <si>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</si>
  <si>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</si>
  <si>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</si>
  <si>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</si>
  <si>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</si>
  <si>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</si>
  <si>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</si>
  <si>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</si>
  <si>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</si>
  <si>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</si>
  <si>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</si>
  <si>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</si>
  <si>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</si>
  <si>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</si>
  <si>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</si>
  <si>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</si>
  <si>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</si>
  <si>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</si>
  <si>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</si>
  <si>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</si>
  <si>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</si>
  <si>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</si>
  <si>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</si>
  <si>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</si>
  <si>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</si>
  <si>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</si>
  <si>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</si>
  <si>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</si>
  <si>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</si>
  <si>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</si>
  <si>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</si>
  <si>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</si>
  <si>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</si>
  <si>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</si>
  <si>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</si>
  <si>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</si>
  <si>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</si>
  <si>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</si>
  <si>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</si>
  <si>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</si>
  <si>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</si>
  <si>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</si>
  <si>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</si>
  <si>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</si>
  <si>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</si>
  <si>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</si>
  <si>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</si>
  <si>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</si>
  <si>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</si>
  <si>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</si>
  <si>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</si>
  <si>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</si>
  <si>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</si>
  <si>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</si>
  <si>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</si>
  <si>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</si>
  <si>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</si>
  <si>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</si>
  <si>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</si>
  <si>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</si>
  <si>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</si>
  <si>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</si>
  <si>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</si>
  <si>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</si>
  <si>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</si>
  <si>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</si>
  <si>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</si>
  <si>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</si>
  <si>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</si>
  <si>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</si>
  <si>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</si>
  <si>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</si>
  <si>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</si>
  <si>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</si>
  <si>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</si>
  <si>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</si>
  <si>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</si>
  <si>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</si>
  <si>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</si>
  <si>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</si>
  <si>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</si>
  <si>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</si>
  <si>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</si>
  <si>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</si>
  <si>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</si>
  <si>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</si>
  <si>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</si>
  <si>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</si>
  <si>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</si>
  <si>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</si>
  <si>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</si>
  <si>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</si>
  <si>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</si>
  <si>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</si>
  <si>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</si>
  <si>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</si>
  <si>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</si>
  <si>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</si>
  <si>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</si>
  <si>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</si>
  <si>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</si>
  <si>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</si>
  <si>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</si>
  <si>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</si>
  <si>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</si>
  <si>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</si>
  <si>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</si>
  <si>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</si>
  <si>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</si>
  <si>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</si>
  <si>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</si>
  <si>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</si>
  <si>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</si>
  <si>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</si>
  <si>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</si>
  <si>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</si>
  <si>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</si>
  <si>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</si>
  <si>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</si>
  <si>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</si>
  <si>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</si>
  <si>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</si>
  <si>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</si>
  <si>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</si>
  <si>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</si>
  <si>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</si>
  <si>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</si>
  <si>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</si>
  <si>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</si>
  <si>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</si>
  <si>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</si>
  <si>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</si>
  <si>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</si>
  <si>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</si>
  <si>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</si>
  <si>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</si>
  <si>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</si>
  <si>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</si>
  <si>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</si>
  <si>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</si>
  <si>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</si>
  <si>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</si>
  <si>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</si>
  <si>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</si>
  <si>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</si>
  <si>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</si>
  <si>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</si>
  <si>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</si>
  <si>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</si>
  <si>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</si>
  <si>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</si>
  <si>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</si>
  <si>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</si>
  <si>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</si>
  <si>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</si>
  <si>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</si>
  <si>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</si>
  <si>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</si>
  <si>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</si>
  <si>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</si>
  <si>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</si>
  <si>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</si>
  <si>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</si>
  <si>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</si>
  <si>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</si>
  <si>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</si>
  <si>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</si>
  <si>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</si>
  <si>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</si>
  <si>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</si>
  <si>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</si>
  <si>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</si>
  <si>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</si>
  <si>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</si>
  <si>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</si>
  <si>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</si>
  <si>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</si>
  <si>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</si>
  <si>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</si>
  <si>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</si>
  <si>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</si>
  <si>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</si>
  <si>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</si>
  <si>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</si>
  <si>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</si>
  <si>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</si>
  <si>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</si>
  <si>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</si>
  <si>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</si>
  <si>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</si>
  <si>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</si>
  <si>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</si>
  <si>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</si>
  <si>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</si>
  <si>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</si>
  <si>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</si>
  <si>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</si>
  <si>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</si>
  <si>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</si>
  <si>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</si>
  <si>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</si>
  <si>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</si>
  <si>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</si>
  <si>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</si>
  <si>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</si>
  <si>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</si>
  <si>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</si>
  <si>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</si>
  <si>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</si>
  <si>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</si>
  <si>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</si>
  <si>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</si>
  <si>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</si>
  <si>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</si>
  <si>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</si>
  <si>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</si>
  <si>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</si>
  <si>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</si>
  <si>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</si>
  <si>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</si>
  <si>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</si>
  <si>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</si>
  <si>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</si>
  <si>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</si>
  <si>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</si>
  <si>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</si>
  <si>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</si>
  <si>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</si>
  <si>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</si>
  <si>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</si>
  <si>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</si>
  <si>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</si>
  <si>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</si>
  <si>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</si>
  <si>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</si>
  <si>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</si>
  <si>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</si>
  <si>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</si>
  <si>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</si>
  <si>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</si>
  <si>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</si>
  <si>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</si>
  <si>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</si>
  <si>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</si>
  <si>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</si>
  <si>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</si>
  <si>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</si>
  <si>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</si>
  <si>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</si>
  <si>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</si>
  <si>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</si>
  <si>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</si>
  <si>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</si>
  <si>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</si>
  <si>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</si>
  <si>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</si>
  <si>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</si>
  <si>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</si>
  <si>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</si>
  <si>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</si>
  <si>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</si>
  <si>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</si>
  <si>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</si>
  <si>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</si>
  <si>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</si>
  <si>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</si>
  <si>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</si>
  <si>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</si>
  <si>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</si>
  <si>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</si>
  <si>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</si>
  <si>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</si>
  <si>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</si>
  <si>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</si>
  <si>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</si>
  <si>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</si>
  <si>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</si>
  <si>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</si>
  <si>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</si>
  <si>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</si>
  <si>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</si>
  <si>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</si>
  <si>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</si>
  <si>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</si>
  <si>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</si>
  <si>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</si>
  <si>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</si>
  <si>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</si>
  <si>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</si>
  <si>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</si>
  <si>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</si>
  <si>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</si>
  <si>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</si>
  <si>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</si>
  <si>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</si>
  <si>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</si>
  <si>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</si>
  <si>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</si>
  <si>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</si>
  <si>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</si>
  <si>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</si>
  <si>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</si>
  <si>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</si>
  <si>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</si>
  <si>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</si>
  <si>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</si>
  <si>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</si>
  <si>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</si>
  <si>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</si>
  <si>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</si>
  <si>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</si>
  <si>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</si>
  <si>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</si>
  <si>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</si>
  <si>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</si>
  <si>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</si>
  <si>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</si>
  <si>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</si>
  <si>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</si>
  <si>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</si>
  <si>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</si>
  <si>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</si>
  <si>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</si>
  <si>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</si>
  <si>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</si>
  <si>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</si>
  <si>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</si>
  <si>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</si>
  <si>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</si>
  <si>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</si>
  <si>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</si>
  <si>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</si>
  <si>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</si>
  <si>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</si>
  <si>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</si>
  <si>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</si>
  <si>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</si>
  <si>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</si>
  <si>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</si>
  <si>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</si>
  <si>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</si>
  <si>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</si>
  <si>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</si>
  <si>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</si>
  <si>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</si>
  <si>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</si>
  <si>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</si>
  <si>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</si>
  <si>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</si>
  <si>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</si>
  <si>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</si>
  <si>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</si>
  <si>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</si>
  <si>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</si>
  <si>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</si>
  <si>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</si>
  <si>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</si>
  <si>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</si>
  <si>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</si>
  <si>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</si>
  <si>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</si>
  <si>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</si>
  <si>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</si>
  <si>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</si>
  <si>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</si>
  <si>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</si>
  <si>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</si>
  <si>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</si>
  <si>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</si>
  <si>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</si>
  <si>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</si>
  <si>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</si>
  <si>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</si>
  <si>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</si>
  <si>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</si>
  <si>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</si>
  <si>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</si>
  <si>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</si>
  <si>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</si>
  <si>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</si>
  <si>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</si>
  <si>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</si>
  <si>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</si>
  <si>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</si>
  <si>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</si>
  <si>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</si>
  <si>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</si>
  <si>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</si>
  <si>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</si>
  <si>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</si>
  <si>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</si>
  <si>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</si>
  <si>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</si>
  <si>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</si>
  <si>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</si>
  <si>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</si>
  <si>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</si>
  <si>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</si>
  <si>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</si>
  <si>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</si>
  <si>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</si>
  <si>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</si>
  <si>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</si>
  <si>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</si>
  <si>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</si>
  <si>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</si>
  <si>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</si>
  <si>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</si>
  <si>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</si>
  <si>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</si>
  <si>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</si>
  <si>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</si>
  <si>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</si>
  <si>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</si>
  <si>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</si>
  <si>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</si>
  <si>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</si>
  <si>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</si>
  <si>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</si>
  <si>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</si>
  <si>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</si>
  <si>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</si>
  <si>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</si>
  <si>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</si>
  <si>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</si>
  <si>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</si>
  <si>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</si>
  <si>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</si>
  <si>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</si>
  <si>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</si>
  <si>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</si>
  <si>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</si>
  <si>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</si>
  <si>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</si>
  <si>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</si>
  <si>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</si>
  <si>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</si>
  <si>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</si>
  <si>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</si>
  <si>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</si>
  <si>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</si>
  <si>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</si>
  <si>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</si>
  <si>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</si>
  <si>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</si>
  <si>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</si>
  <si>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</si>
  <si>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</si>
  <si>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</si>
  <si>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</si>
  <si>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</si>
  <si>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</si>
  <si>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</si>
  <si>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</si>
  <si>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</si>
  <si>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</si>
  <si>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</si>
  <si>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</si>
  <si>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</si>
  <si>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</si>
  <si>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</si>
  <si>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</si>
  <si>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</si>
  <si>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</si>
  <si>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</si>
  <si>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</si>
  <si>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</si>
  <si>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</si>
  <si>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</si>
  <si>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</si>
  <si>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</si>
  <si>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</si>
  <si>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</si>
  <si>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</si>
  <si>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</si>
  <si>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</si>
  <si>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</si>
  <si>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</si>
  <si>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</si>
  <si>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</si>
  <si>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</si>
  <si>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</si>
  <si>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</si>
  <si>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</si>
  <si>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</si>
  <si>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</si>
  <si>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</si>
  <si>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</si>
  <si>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</si>
  <si>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</si>
  <si>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</si>
  <si>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</si>
  <si>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</si>
  <si>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</si>
  <si>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</si>
  <si>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</si>
  <si>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</si>
  <si>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</si>
  <si>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</si>
  <si>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</si>
  <si>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</si>
  <si>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</si>
  <si>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</si>
  <si>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</si>
  <si>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</si>
  <si>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</si>
  <si>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</si>
  <si>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</si>
  <si>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</si>
  <si>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</si>
  <si>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</si>
  <si>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</si>
  <si>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</si>
  <si>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</si>
  <si>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</si>
  <si>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</si>
  <si>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</si>
  <si>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</si>
  <si>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</si>
  <si>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</si>
  <si>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</si>
  <si>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</si>
  <si>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</si>
  <si>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</si>
  <si>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</si>
  <si>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</si>
  <si>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</si>
  <si>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</si>
  <si>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</si>
  <si>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</si>
  <si>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</si>
  <si>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</si>
  <si>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</si>
  <si>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</si>
  <si>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</si>
  <si>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</si>
  <si>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</si>
  <si>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</si>
  <si>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</si>
  <si>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</si>
  <si>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</si>
  <si>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</si>
  <si>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</si>
  <si>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</si>
  <si>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</si>
  <si>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</si>
  <si>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</si>
  <si>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</si>
  <si>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</si>
  <si>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</si>
  <si>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</si>
  <si>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</si>
  <si>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</si>
  <si>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</si>
  <si>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</si>
  <si>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</si>
  <si>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</si>
  <si>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</si>
  <si>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</si>
  <si>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</si>
  <si>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</si>
  <si>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</si>
  <si>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</si>
  <si>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</si>
  <si>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</si>
  <si>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</si>
  <si>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</si>
  <si>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</si>
  <si>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</si>
  <si>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</si>
  <si>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</si>
  <si>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</si>
  <si>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</si>
  <si>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</si>
  <si>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</si>
  <si>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</si>
  <si>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</si>
  <si>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</si>
  <si>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</si>
  <si>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</si>
  <si>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</si>
  <si>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</si>
  <si>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</si>
  <si>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</si>
  <si>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</si>
  <si>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</si>
  <si>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</si>
  <si>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</si>
  <si>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</si>
  <si>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</si>
  <si>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</si>
  <si>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</si>
  <si>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</si>
  <si>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</si>
  <si>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</si>
  <si>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</si>
  <si>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</si>
  <si>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</si>
  <si>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</si>
  <si>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</si>
  <si>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</si>
  <si>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</si>
  <si>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</si>
  <si>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</si>
  <si>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</si>
  <si>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</si>
  <si>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</si>
  <si>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</si>
  <si>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</si>
  <si>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</si>
  <si>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</si>
  <si>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</si>
  <si>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</si>
  <si>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</si>
  <si>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</si>
  <si>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</si>
  <si>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</si>
  <si>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</si>
  <si>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</si>
  <si>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</si>
  <si>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</si>
  <si>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</si>
  <si>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</si>
  <si>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</si>
  <si>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</si>
  <si>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</si>
  <si>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</si>
  <si>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</si>
  <si>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</si>
  <si>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</si>
  <si>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</si>
  <si>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</si>
  <si>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</si>
  <si>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</si>
  <si>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</si>
  <si>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</si>
  <si>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</si>
  <si>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</si>
  <si>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</si>
  <si>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</si>
  <si>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</si>
  <si>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</si>
  <si>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</si>
  <si>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</si>
  <si>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</si>
  <si>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</si>
  <si>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</si>
  <si>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</si>
  <si>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</si>
  <si>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</si>
  <si>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</si>
  <si>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</si>
  <si>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</si>
  <si>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</si>
  <si>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</si>
  <si>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</si>
  <si>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</si>
  <si>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</si>
  <si>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</si>
  <si>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</si>
  <si>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</si>
  <si>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</si>
  <si>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</si>
  <si>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</si>
  <si>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</si>
  <si>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</si>
  <si>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</si>
  <si>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</si>
  <si>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</si>
  <si>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</si>
  <si>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</si>
  <si>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</si>
  <si>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</si>
  <si>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</si>
  <si>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</si>
  <si>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</si>
  <si>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</si>
  <si>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</si>
  <si>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</si>
  <si>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</si>
  <si>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</si>
  <si>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</si>
  <si>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</si>
  <si>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</si>
  <si>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</si>
  <si>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</si>
  <si>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</si>
  <si>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</si>
  <si>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</si>
  <si>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</si>
  <si>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</si>
  <si>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</si>
  <si>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</si>
  <si>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</si>
  <si>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</si>
  <si>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</si>
  <si>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</si>
  <si>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</si>
  <si>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</si>
  <si>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</si>
  <si>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</si>
  <si>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</si>
  <si>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</si>
  <si>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</si>
  <si>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</si>
  <si>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</si>
  <si>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</si>
  <si>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</si>
  <si>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</si>
  <si>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</si>
  <si>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</si>
  <si>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</si>
  <si>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</si>
  <si>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</si>
  <si>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</si>
  <si>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</si>
  <si>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</si>
  <si>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</si>
  <si>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</si>
  <si>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</si>
  <si>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</si>
  <si>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</si>
  <si>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</si>
  <si>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</si>
  <si>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</si>
  <si>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</si>
  <si>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</si>
  <si>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</si>
  <si>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</si>
  <si>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</si>
  <si>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</si>
  <si>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</si>
  <si>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</si>
  <si>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</si>
  <si>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</si>
  <si>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</si>
  <si>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</si>
  <si>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</si>
  <si>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</si>
  <si>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</si>
  <si>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</si>
  <si>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</si>
  <si>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</si>
  <si>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</si>
  <si>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</si>
  <si>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</si>
  <si>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</si>
  <si>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</si>
  <si>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</si>
  <si>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</si>
  <si>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</si>
  <si>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</si>
  <si>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</si>
  <si>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</si>
  <si>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</si>
  <si>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3. Булярд корабостроителна индустрия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</si>
  <si>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</si>
  <si>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</si>
  <si>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</si>
  <si>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</si>
  <si>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</si>
  <si>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</si>
  <si>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</si>
  <si>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</si>
  <si>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</si>
  <si>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</si>
  <si>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</si>
  <si>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</si>
  <si>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</si>
  <si>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</si>
  <si>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</si>
  <si>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</si>
  <si>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</si>
  <si>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На ред 1-0618 е включена краткосрочната част на "Задължение по лизинг" в размер на 65 х.лв.</t>
  </si>
  <si>
    <t>собствени. На ред 1-0517 е включена дългосрочната част на "Задължение по лизинг" в размер на  619 х.лв.</t>
  </si>
  <si>
    <t>гр. София, бул. Княгиня Мария Луиза 79, ет.3</t>
  </si>
  <si>
    <t xml:space="preserve">На ред 7-3008 колона 4 е посочена сумата за притежаваните от дружеството </t>
  </si>
  <si>
    <t>Американски краткосрочни ДЦК, с падеж 26.10.2023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</si>
</sst>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1020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279376</v>
      </c>
      <c r="D6" s="675">
        <f aca="true" t="shared" si="0" ref="D6:D15">C6-E6</f>
        <v>0</v>
      </c>
      <c r="E6" s="674">
        <f>'1-Баланс'!G95</f>
        <v>279376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266394</v>
      </c>
      <c r="D7" s="675">
        <f t="shared" si="0"/>
        <v>169586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6615</v>
      </c>
      <c r="D8" s="675">
        <f t="shared" si="0"/>
        <v>0</v>
      </c>
      <c r="E8" s="674">
        <f>ABS('2-Отчет за доходите'!C44)-ABS('2-Отчет за доходите'!G44)</f>
        <v>6615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27264</v>
      </c>
      <c r="D9" s="675">
        <f t="shared" si="0"/>
        <v>20</v>
      </c>
      <c r="E9" s="674">
        <f>'3-Отчет за паричния поток'!C45</f>
        <v>27244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21706</v>
      </c>
      <c r="D10" s="675">
        <f t="shared" si="0"/>
        <v>0</v>
      </c>
      <c r="E10" s="674">
        <f>'3-Отчет за паричния поток'!C46</f>
        <v>21706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266394</v>
      </c>
      <c r="D11" s="675">
        <f t="shared" si="0"/>
        <v>0</v>
      </c>
      <c r="E11" s="674">
        <f>'4-Отчет за собствения капитал'!L34</f>
        <v>266394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194138</v>
      </c>
      <c r="D12" s="675">
        <f t="shared" si="0"/>
        <v>0</v>
      </c>
      <c r="E12" s="674">
        <f>'Справка 5'!C27+'Справка 5'!C97</f>
        <v>194138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389.11764705882354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0.024831640352260185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0.5095516869511632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0.023677767596357598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6.123934934159566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27.298444130127297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27.28925035360679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23.628005657708627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15.350777934936351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0.02009456264775414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6.0849894049596244E-05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0.0416171994733093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0.048732328806204345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0.04646784262069756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6707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0.025176993475829034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0.8578294965848723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1.9141846063108228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678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58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62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828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18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194138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194138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194138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45787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45787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240776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4949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228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5177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11704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11704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21705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21706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38600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279376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40677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122294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122294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6615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128909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266394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591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10313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664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11568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11568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1311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14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65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1414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1414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279376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131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75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358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670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92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519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621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1291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6615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1291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6615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6615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6615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7906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1133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6755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7888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7906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7906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7906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652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-191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-424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-621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2387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1797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-57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9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-11523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-11571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3270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-58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-77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1101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4236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-5538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27244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21706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21706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96808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96808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31016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31016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122294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122294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6615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128909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128909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259779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259779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6615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266394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266394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46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252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246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67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799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9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27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36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194138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194138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194138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194973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59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53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57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172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172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46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73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115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119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353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353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65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252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232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5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64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618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36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194138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194138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194138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194792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708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708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708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708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65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252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232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5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64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1326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36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194138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194138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194138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195500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11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252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245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121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662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9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7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16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678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64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73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75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45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73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119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237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237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30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40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252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174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2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498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9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18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516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30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40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252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174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2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498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9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18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516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678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25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58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5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62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828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18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18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194138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194138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194138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194984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46842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46842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46842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3894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3894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228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228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4135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50982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1055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1055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1055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3894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3894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228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228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4135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5190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45787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45787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45787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45792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605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605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11624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11624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729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12958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12982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14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14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1311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1311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65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1390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1414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591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591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10313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10313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664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11568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11568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45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45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45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11704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11704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11704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11704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194008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194008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194008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194008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8">
      <selection activeCell="D71" sqref="D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f>107400-10592</f>
        <v>96808</v>
      </c>
    </row>
    <row r="13" spans="1:8" ht="15.75">
      <c r="A13" s="89" t="s">
        <v>27</v>
      </c>
      <c r="B13" s="91" t="s">
        <v>28</v>
      </c>
      <c r="C13" s="197">
        <v>678</v>
      </c>
      <c r="D13" s="196">
        <v>35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25</v>
      </c>
      <c r="D14" s="196">
        <v>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58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</v>
      </c>
      <c r="D18" s="196">
        <v>67</v>
      </c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96808</v>
      </c>
    </row>
    <row r="19" spans="1:8" ht="15.75">
      <c r="A19" s="89" t="s">
        <v>49</v>
      </c>
      <c r="B19" s="91" t="s">
        <v>50</v>
      </c>
      <c r="C19" s="197">
        <v>62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828</v>
      </c>
      <c r="D20" s="598">
        <f>SUM(D12:D19)</f>
        <v>137</v>
      </c>
      <c r="E20" s="89" t="s">
        <v>54</v>
      </c>
      <c r="F20" s="93" t="s">
        <v>55</v>
      </c>
      <c r="G20" s="197">
        <v>31016</v>
      </c>
      <c r="H20" s="196">
        <v>31016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f>6878+862</f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40677</v>
      </c>
      <c r="H26" s="598">
        <f>H20+H21+H22</f>
        <v>40677</v>
      </c>
      <c r="M26" s="98"/>
    </row>
    <row r="27" spans="1:8" ht="15.75">
      <c r="A27" s="89" t="s">
        <v>79</v>
      </c>
      <c r="B27" s="91" t="s">
        <v>80</v>
      </c>
      <c r="C27" s="197">
        <v>18</v>
      </c>
      <c r="D27" s="196">
        <v>20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18</v>
      </c>
      <c r="D28" s="598">
        <f>SUM(D24:D27)</f>
        <v>20</v>
      </c>
      <c r="E28" s="202" t="s">
        <v>84</v>
      </c>
      <c r="F28" s="93" t="s">
        <v>85</v>
      </c>
      <c r="G28" s="595">
        <f>SUM(G29:G31)</f>
        <v>122294</v>
      </c>
      <c r="H28" s="596">
        <f>SUM(H29:H31)</f>
        <v>112162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122294</v>
      </c>
      <c r="H29" s="196">
        <v>112162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6615</v>
      </c>
      <c r="H32" s="196">
        <v>10132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128909</v>
      </c>
      <c r="H34" s="598">
        <f>H28+H32+H33</f>
        <v>122294</v>
      </c>
    </row>
    <row r="35" spans="1:8" ht="15.75">
      <c r="A35" s="89" t="s">
        <v>106</v>
      </c>
      <c r="B35" s="94" t="s">
        <v>107</v>
      </c>
      <c r="C35" s="595">
        <f>SUM(C36:C39)</f>
        <v>194138</v>
      </c>
      <c r="D35" s="596">
        <f>SUM(D36:D39)</f>
        <v>194138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194138</v>
      </c>
      <c r="D36" s="196">
        <v>194138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266394</v>
      </c>
      <c r="H37" s="600">
        <f>H26+H18+H34</f>
        <v>259779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591</v>
      </c>
      <c r="H44" s="196">
        <v>591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10313</v>
      </c>
      <c r="H45" s="196">
        <v>5083</v>
      </c>
    </row>
    <row r="46" spans="1:13" ht="15.75">
      <c r="A46" s="473" t="s">
        <v>137</v>
      </c>
      <c r="B46" s="96" t="s">
        <v>138</v>
      </c>
      <c r="C46" s="597">
        <f>C35+C40+C45</f>
        <v>194138</v>
      </c>
      <c r="D46" s="598">
        <f>D35+D40+D45</f>
        <v>194138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45787</v>
      </c>
      <c r="D48" s="196">
        <v>46135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45+619</f>
        <v>664</v>
      </c>
      <c r="H49" s="196">
        <v>45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11568</v>
      </c>
      <c r="H50" s="596">
        <f>SUM(H44:H49)</f>
        <v>5719</v>
      </c>
    </row>
    <row r="51" spans="1:8" ht="15.75">
      <c r="A51" s="89" t="s">
        <v>79</v>
      </c>
      <c r="B51" s="91" t="s">
        <v>155</v>
      </c>
      <c r="C51" s="197">
        <f>6-6</f>
        <v>0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45787</v>
      </c>
      <c r="D52" s="598">
        <f>SUM(D48:D51)</f>
        <v>46135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240776</v>
      </c>
      <c r="D56" s="602">
        <f>D20+D21+D22+D28+D33+D46+D52+D54+D55</f>
        <v>240435</v>
      </c>
      <c r="E56" s="100" t="s">
        <v>850</v>
      </c>
      <c r="F56" s="99" t="s">
        <v>172</v>
      </c>
      <c r="G56" s="599">
        <f>G50+G52+G53+G54+G55</f>
        <v>11568</v>
      </c>
      <c r="H56" s="600">
        <f>H50+H52+H53+H54+H55</f>
        <v>5719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1311</v>
      </c>
      <c r="H59" s="196">
        <v>3270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14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11</v>
      </c>
    </row>
    <row r="68" spans="1:8" ht="15.75">
      <c r="A68" s="89" t="s">
        <v>206</v>
      </c>
      <c r="B68" s="91" t="s">
        <v>207</v>
      </c>
      <c r="C68" s="197">
        <v>4949</v>
      </c>
      <c r="D68" s="196">
        <v>947</v>
      </c>
      <c r="E68" s="89" t="s">
        <v>212</v>
      </c>
      <c r="F68" s="93" t="s">
        <v>213</v>
      </c>
      <c r="G68" s="197">
        <v>6</v>
      </c>
      <c r="H68" s="196">
        <v>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65</v>
      </c>
      <c r="H69" s="196">
        <v>33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1414</v>
      </c>
      <c r="H71" s="598">
        <f>H59+H60+H61+H69+H70</f>
        <v>3350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204+18+6</f>
        <v>228</v>
      </c>
      <c r="D75" s="196">
        <v>176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5177</v>
      </c>
      <c r="D76" s="598">
        <f>SUM(D68:D75)</f>
        <v>1123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1414</v>
      </c>
      <c r="H79" s="600">
        <f>H71+H73+H75+H77</f>
        <v>3350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11704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11704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21705</v>
      </c>
      <c r="D89" s="196">
        <v>27244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20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21706</v>
      </c>
      <c r="D92" s="598">
        <f>SUM(D88:D91)</f>
        <v>27264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13</v>
      </c>
      <c r="D93" s="479">
        <v>26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38600</v>
      </c>
      <c r="D94" s="602">
        <f>D65+D76+D85+D92+D93</f>
        <v>28413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279376</v>
      </c>
      <c r="D95" s="604">
        <f>D94+D56</f>
        <v>268848</v>
      </c>
      <c r="E95" s="229" t="s">
        <v>941</v>
      </c>
      <c r="F95" s="489" t="s">
        <v>268</v>
      </c>
      <c r="G95" s="603">
        <f>G37+G40+G56+G79</f>
        <v>279376</v>
      </c>
      <c r="H95" s="604">
        <f>H37+H40+H56+H79</f>
        <v>268848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1017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1014</v>
      </c>
      <c r="C105" s="701"/>
      <c r="D105" s="701"/>
      <c r="E105" s="701"/>
      <c r="M105" s="98"/>
    </row>
    <row r="106" spans="1:5" ht="21.75" customHeight="1">
      <c r="A106" s="696"/>
      <c r="B106" s="701" t="s">
        <v>1015</v>
      </c>
      <c r="C106" s="701"/>
      <c r="D106" s="701"/>
      <c r="E106" s="701"/>
    </row>
    <row r="107" spans="1:13" ht="21.75" customHeight="1">
      <c r="A107" s="696"/>
      <c r="B107" s="701" t="s">
        <v>1016</v>
      </c>
      <c r="C107" s="701"/>
      <c r="D107" s="701"/>
      <c r="E107" s="701"/>
      <c r="M107" s="98"/>
    </row>
    <row r="108" spans="1:5" ht="21.75" customHeight="1">
      <c r="A108" s="696"/>
      <c r="B108" s="701" t="s">
        <v>1019</v>
      </c>
      <c r="C108" s="701"/>
      <c r="D108" s="701"/>
      <c r="E108" s="701"/>
    </row>
    <row r="109" spans="1:13" ht="21.75" customHeight="1">
      <c r="A109" s="696"/>
      <c r="B109" s="701" t="s">
        <v>1018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5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</v>
      </c>
      <c r="D12" s="317">
        <v>17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131</v>
      </c>
      <c r="D13" s="317">
        <v>101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75</v>
      </c>
      <c r="D14" s="317">
        <v>102</v>
      </c>
      <c r="E14" s="245" t="s">
        <v>285</v>
      </c>
      <c r="F14" s="240" t="s">
        <v>286</v>
      </c>
      <c r="G14" s="316">
        <v>10</v>
      </c>
      <c r="H14" s="317">
        <v>22</v>
      </c>
    </row>
    <row r="15" spans="1:8" ht="15.75">
      <c r="A15" s="194" t="s">
        <v>287</v>
      </c>
      <c r="B15" s="190" t="s">
        <v>288</v>
      </c>
      <c r="C15" s="316">
        <v>358</v>
      </c>
      <c r="D15" s="317">
        <v>299</v>
      </c>
      <c r="E15" s="245" t="s">
        <v>79</v>
      </c>
      <c r="F15" s="240" t="s">
        <v>289</v>
      </c>
      <c r="G15" s="316">
        <v>7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55</v>
      </c>
      <c r="D16" s="317">
        <v>44</v>
      </c>
      <c r="E16" s="236" t="s">
        <v>52</v>
      </c>
      <c r="F16" s="264" t="s">
        <v>292</v>
      </c>
      <c r="G16" s="628">
        <f>SUM(G12:G15)</f>
        <v>17</v>
      </c>
      <c r="H16" s="629">
        <f>SUM(H12:H15)</f>
        <v>22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28</v>
      </c>
      <c r="D19" s="317">
        <v>25</v>
      </c>
      <c r="E19" s="194" t="s">
        <v>301</v>
      </c>
      <c r="F19" s="237" t="s">
        <v>302</v>
      </c>
      <c r="G19" s="316">
        <v>1</v>
      </c>
      <c r="H19" s="317">
        <v>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670</v>
      </c>
      <c r="D22" s="629">
        <f>SUM(D12:D18)+D19</f>
        <v>588</v>
      </c>
      <c r="E22" s="194" t="s">
        <v>309</v>
      </c>
      <c r="F22" s="237" t="s">
        <v>310</v>
      </c>
      <c r="G22" s="316">
        <f>668+465</f>
        <v>1133</v>
      </c>
      <c r="H22" s="317">
        <v>494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6755</v>
      </c>
      <c r="H23" s="317">
        <v>8063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92</v>
      </c>
      <c r="D25" s="317">
        <v>69</v>
      </c>
      <c r="E25" s="194" t="s">
        <v>318</v>
      </c>
      <c r="F25" s="237" t="s">
        <v>319</v>
      </c>
      <c r="G25" s="316"/>
      <c r="H25" s="317">
        <v>875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519</v>
      </c>
      <c r="D27" s="317"/>
      <c r="E27" s="236" t="s">
        <v>104</v>
      </c>
      <c r="F27" s="238" t="s">
        <v>326</v>
      </c>
      <c r="G27" s="628">
        <f>SUM(G22:G26)</f>
        <v>7888</v>
      </c>
      <c r="H27" s="629">
        <f>SUM(H22:H26)</f>
        <v>9432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621</v>
      </c>
      <c r="D29" s="629">
        <f>SUM(D25:D28)</f>
        <v>91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1291</v>
      </c>
      <c r="D31" s="635">
        <f>D29+D22</f>
        <v>679</v>
      </c>
      <c r="E31" s="251" t="s">
        <v>824</v>
      </c>
      <c r="F31" s="266" t="s">
        <v>331</v>
      </c>
      <c r="G31" s="253">
        <f>G16+G18+G27</f>
        <v>7906</v>
      </c>
      <c r="H31" s="254">
        <f>H16+H18+H27</f>
        <v>9456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6615</v>
      </c>
      <c r="D33" s="244">
        <f>IF((H31-D31)&gt;0,H31-D31,0)</f>
        <v>8777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1291</v>
      </c>
      <c r="D36" s="637">
        <f>D31-D34+D35</f>
        <v>679</v>
      </c>
      <c r="E36" s="262" t="s">
        <v>346</v>
      </c>
      <c r="F36" s="256" t="s">
        <v>347</v>
      </c>
      <c r="G36" s="267">
        <f>G35-G34+G31</f>
        <v>7906</v>
      </c>
      <c r="H36" s="268">
        <f>H35-H34+H31</f>
        <v>9456</v>
      </c>
    </row>
    <row r="37" spans="1:8" ht="15.75">
      <c r="A37" s="261" t="s">
        <v>348</v>
      </c>
      <c r="B37" s="231" t="s">
        <v>349</v>
      </c>
      <c r="C37" s="634">
        <f>IF((G36-C36)&gt;0,G36-C36,0)</f>
        <v>6615</v>
      </c>
      <c r="D37" s="635">
        <f>IF((H36-D36)&gt;0,H36-D36,0)</f>
        <v>8777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6615</v>
      </c>
      <c r="D42" s="244">
        <f>+IF((H36-D36-D38)&gt;0,H36-D36-D38,0)</f>
        <v>8777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6615</v>
      </c>
      <c r="D44" s="268">
        <f>IF(H42=0,IF(D42-D43&gt;0,D42-D43+H43,0),IF(H42-H43&lt;0,H43-H42+D42,0))</f>
        <v>8777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7906</v>
      </c>
      <c r="D45" s="631">
        <f>D36+D38+D42</f>
        <v>9456</v>
      </c>
      <c r="E45" s="270" t="s">
        <v>373</v>
      </c>
      <c r="F45" s="272" t="s">
        <v>374</v>
      </c>
      <c r="G45" s="630">
        <f>G42+G36</f>
        <v>7906</v>
      </c>
      <c r="H45" s="631">
        <f>H42+H36</f>
        <v>9456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1017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27" sqref="F2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12+640</f>
        <v>652</v>
      </c>
      <c r="D11" s="196">
        <f>26+567</f>
        <v>593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-191</v>
      </c>
      <c r="D12" s="196">
        <v>-126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-424</v>
      </c>
      <c r="D14" s="196">
        <v>-401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-621</v>
      </c>
      <c r="D19" s="196">
        <v>875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-10327+10341+1949+6+418</f>
        <v>2387</v>
      </c>
      <c r="D20" s="196">
        <f>-3+1409-7624+11170-4086</f>
        <v>866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1797</v>
      </c>
      <c r="D21" s="659">
        <f>SUM(D11:D20)</f>
        <v>1803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-57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-2820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-11523</f>
        <v>-11523</v>
      </c>
      <c r="D32" s="196">
        <v>3092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-11571</v>
      </c>
      <c r="D33" s="659">
        <f>SUM(D23:D32)</f>
        <v>272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3270</v>
      </c>
      <c r="D37" s="196">
        <f>6296+978</f>
        <v>7274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-1630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-52-6</f>
        <v>-58</v>
      </c>
      <c r="D39" s="196">
        <f>-83-1</f>
        <v>-84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-69-8</f>
        <v>-77</v>
      </c>
      <c r="D40" s="196">
        <f>-44-13</f>
        <v>-57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3+1099-1</f>
        <v>1101</v>
      </c>
      <c r="D42" s="196">
        <f>-9-1907+749-14</f>
        <v>-1181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4236</v>
      </c>
      <c r="D43" s="661">
        <f>SUM(D35:D42)</f>
        <v>4322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-5538</v>
      </c>
      <c r="D44" s="307">
        <f>D43+D33+D21</f>
        <v>6397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27244</v>
      </c>
      <c r="D45" s="309">
        <v>3644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21706</v>
      </c>
      <c r="D46" s="311">
        <f>D45+D44</f>
        <v>10041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21706</v>
      </c>
      <c r="D47" s="298">
        <v>10041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4086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1017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59:E59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96808</v>
      </c>
      <c r="D13" s="584">
        <f>'1-Баланс'!H20</f>
        <v>31016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122294</v>
      </c>
      <c r="J13" s="584">
        <f>'1-Баланс'!H30+'1-Баланс'!H33</f>
        <v>0</v>
      </c>
      <c r="K13" s="585"/>
      <c r="L13" s="584">
        <f>SUM(C13:K13)</f>
        <v>259779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96808</v>
      </c>
      <c r="D17" s="653">
        <f aca="true" t="shared" si="2" ref="D17:M17">D13+D14</f>
        <v>31016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122294</v>
      </c>
      <c r="J17" s="653">
        <f t="shared" si="2"/>
        <v>0</v>
      </c>
      <c r="K17" s="653">
        <f t="shared" si="2"/>
        <v>0</v>
      </c>
      <c r="L17" s="584">
        <f t="shared" si="1"/>
        <v>259779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6615</v>
      </c>
      <c r="J18" s="584">
        <f>+'1-Баланс'!G33</f>
        <v>0</v>
      </c>
      <c r="K18" s="585"/>
      <c r="L18" s="584">
        <f t="shared" si="1"/>
        <v>6615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0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128909</v>
      </c>
      <c r="J31" s="653">
        <f t="shared" si="6"/>
        <v>0</v>
      </c>
      <c r="K31" s="653">
        <f t="shared" si="6"/>
        <v>0</v>
      </c>
      <c r="L31" s="584">
        <f t="shared" si="1"/>
        <v>266394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0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128909</v>
      </c>
      <c r="J34" s="587">
        <f t="shared" si="7"/>
        <v>0</v>
      </c>
      <c r="K34" s="587">
        <f t="shared" si="7"/>
        <v>0</v>
      </c>
      <c r="L34" s="651">
        <f t="shared" si="1"/>
        <v>266394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1017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D19" sqref="D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1011</v>
      </c>
      <c r="B12" s="680"/>
      <c r="C12" s="92">
        <f>32713+12888+2430</f>
        <v>48031</v>
      </c>
      <c r="D12" s="92" t="s">
        <v>1002</v>
      </c>
      <c r="E12" s="92"/>
      <c r="F12" s="469">
        <f>C12-E12</f>
        <v>48031</v>
      </c>
    </row>
    <row r="13" spans="1:6" ht="15.75">
      <c r="A13" s="679" t="s">
        <v>1008</v>
      </c>
      <c r="B13" s="680"/>
      <c r="C13" s="92">
        <v>46096</v>
      </c>
      <c r="D13" s="92" t="s">
        <v>1003</v>
      </c>
      <c r="E13" s="92"/>
      <c r="F13" s="469">
        <f aca="true" t="shared" si="0" ref="F13:F26">C13-E13</f>
        <v>46096</v>
      </c>
    </row>
    <row r="14" spans="1:6" ht="15.75">
      <c r="A14" s="679" t="s">
        <v>1000</v>
      </c>
      <c r="B14" s="680"/>
      <c r="C14" s="92">
        <f>63371+2818</f>
        <v>66189</v>
      </c>
      <c r="D14" s="92" t="s">
        <v>1002</v>
      </c>
      <c r="E14" s="92"/>
      <c r="F14" s="469">
        <f t="shared" si="0"/>
        <v>66189</v>
      </c>
    </row>
    <row r="15" spans="1:6" ht="15.75">
      <c r="A15" s="679" t="s">
        <v>1012</v>
      </c>
      <c r="B15" s="680"/>
      <c r="C15" s="92">
        <v>23653</v>
      </c>
      <c r="D15" s="92" t="s">
        <v>1002</v>
      </c>
      <c r="E15" s="92"/>
      <c r="F15" s="469">
        <f t="shared" si="0"/>
        <v>23653</v>
      </c>
    </row>
    <row r="16" spans="1:6" ht="15.75">
      <c r="A16" s="679" t="s">
        <v>1009</v>
      </c>
      <c r="B16" s="680"/>
      <c r="C16" s="92">
        <v>4774</v>
      </c>
      <c r="D16" s="92" t="s">
        <v>1004</v>
      </c>
      <c r="E16" s="92"/>
      <c r="F16" s="469">
        <f t="shared" si="0"/>
        <v>4774</v>
      </c>
    </row>
    <row r="17" spans="1:6" ht="15.75">
      <c r="A17" s="679" t="s">
        <v>1013</v>
      </c>
      <c r="B17" s="680"/>
      <c r="C17" s="92">
        <f>7885-3090</f>
        <v>4795</v>
      </c>
      <c r="D17" s="92" t="s">
        <v>1002</v>
      </c>
      <c r="E17" s="92"/>
      <c r="F17" s="469">
        <f t="shared" si="0"/>
        <v>4795</v>
      </c>
    </row>
    <row r="18" spans="1:6" ht="15.75">
      <c r="A18" s="679" t="s">
        <v>1010</v>
      </c>
      <c r="B18" s="680"/>
      <c r="C18" s="92">
        <v>70</v>
      </c>
      <c r="D18" s="92" t="s">
        <v>1005</v>
      </c>
      <c r="E18" s="92"/>
      <c r="F18" s="469">
        <f t="shared" si="0"/>
        <v>70</v>
      </c>
    </row>
    <row r="19" spans="1:6" ht="15.75">
      <c r="A19" s="679" t="s">
        <v>1001</v>
      </c>
      <c r="B19" s="680"/>
      <c r="C19" s="92">
        <v>400</v>
      </c>
      <c r="D19" s="92" t="s">
        <v>1006</v>
      </c>
      <c r="E19" s="92"/>
      <c r="F19" s="469">
        <f t="shared" si="0"/>
        <v>400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194008</v>
      </c>
      <c r="D27" s="472"/>
      <c r="E27" s="472">
        <f>SUM(E12:E26)</f>
        <v>0</v>
      </c>
      <c r="F27" s="472">
        <f>SUM(F12:F26)</f>
        <v>194008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194008</v>
      </c>
      <c r="D79" s="472"/>
      <c r="E79" s="472">
        <f>E78+E61+E44+E27</f>
        <v>0</v>
      </c>
      <c r="F79" s="472">
        <f>F78+F61+F44+F27</f>
        <v>194008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1007</v>
      </c>
      <c r="B82" s="680"/>
      <c r="C82" s="92"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1017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3">
      <selection activeCell="E36" sqref="E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</v>
      </c>
      <c r="E12" s="328"/>
      <c r="F12" s="328">
        <v>46</v>
      </c>
      <c r="G12" s="329">
        <f aca="true" t="shared" si="2" ref="G12:G42">D12+E12-F12</f>
        <v>0</v>
      </c>
      <c r="H12" s="328">
        <v>708</v>
      </c>
      <c r="I12" s="328"/>
      <c r="J12" s="329">
        <f aca="true" t="shared" si="3" ref="J12:J42">G12+H12-I12</f>
        <v>708</v>
      </c>
      <c r="K12" s="328">
        <v>11</v>
      </c>
      <c r="L12" s="328">
        <v>64</v>
      </c>
      <c r="M12" s="328">
        <v>45</v>
      </c>
      <c r="N12" s="329">
        <f aca="true" t="shared" si="4" ref="N12:N42">K12+L12-M12</f>
        <v>30</v>
      </c>
      <c r="O12" s="328"/>
      <c r="P12" s="328"/>
      <c r="Q12" s="329">
        <f t="shared" si="0"/>
        <v>30</v>
      </c>
      <c r="R12" s="340">
        <f t="shared" si="1"/>
        <v>678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>
        <v>3</v>
      </c>
      <c r="F13" s="328"/>
      <c r="G13" s="329">
        <f t="shared" si="2"/>
        <v>65</v>
      </c>
      <c r="H13" s="328"/>
      <c r="I13" s="328"/>
      <c r="J13" s="329">
        <f t="shared" si="3"/>
        <v>65</v>
      </c>
      <c r="K13" s="328">
        <v>33</v>
      </c>
      <c r="L13" s="328">
        <v>7</v>
      </c>
      <c r="M13" s="328"/>
      <c r="N13" s="329">
        <f t="shared" si="4"/>
        <v>40</v>
      </c>
      <c r="O13" s="328"/>
      <c r="P13" s="328"/>
      <c r="Q13" s="329">
        <f t="shared" si="0"/>
        <v>40</v>
      </c>
      <c r="R13" s="340">
        <f t="shared" si="1"/>
        <v>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252</v>
      </c>
      <c r="E15" s="328"/>
      <c r="F15" s="328"/>
      <c r="G15" s="329">
        <f t="shared" si="2"/>
        <v>252</v>
      </c>
      <c r="H15" s="328"/>
      <c r="I15" s="328"/>
      <c r="J15" s="329">
        <f t="shared" si="3"/>
        <v>252</v>
      </c>
      <c r="K15" s="328">
        <v>252</v>
      </c>
      <c r="L15" s="328"/>
      <c r="M15" s="328"/>
      <c r="N15" s="329">
        <f t="shared" si="4"/>
        <v>252</v>
      </c>
      <c r="O15" s="328"/>
      <c r="P15" s="328"/>
      <c r="Q15" s="329">
        <f t="shared" si="0"/>
        <v>252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246</v>
      </c>
      <c r="E16" s="328">
        <v>59</v>
      </c>
      <c r="F16" s="328">
        <v>73</v>
      </c>
      <c r="G16" s="329">
        <f t="shared" si="2"/>
        <v>232</v>
      </c>
      <c r="H16" s="328"/>
      <c r="I16" s="328"/>
      <c r="J16" s="329">
        <f t="shared" si="3"/>
        <v>232</v>
      </c>
      <c r="K16" s="328">
        <v>245</v>
      </c>
      <c r="L16" s="328">
        <v>2</v>
      </c>
      <c r="M16" s="328">
        <v>73</v>
      </c>
      <c r="N16" s="329">
        <f t="shared" si="4"/>
        <v>174</v>
      </c>
      <c r="O16" s="328"/>
      <c r="P16" s="328"/>
      <c r="Q16" s="329">
        <f t="shared" si="0"/>
        <v>174</v>
      </c>
      <c r="R16" s="340">
        <f t="shared" si="1"/>
        <v>58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67</v>
      </c>
      <c r="E17" s="328">
        <v>53</v>
      </c>
      <c r="F17" s="328">
        <v>115</v>
      </c>
      <c r="G17" s="329">
        <f t="shared" si="2"/>
        <v>5</v>
      </c>
      <c r="H17" s="328"/>
      <c r="I17" s="328"/>
      <c r="J17" s="329">
        <f t="shared" si="3"/>
        <v>5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>
        <f>1+56</f>
        <v>57</v>
      </c>
      <c r="F18" s="328">
        <v>119</v>
      </c>
      <c r="G18" s="329">
        <f t="shared" si="2"/>
        <v>64</v>
      </c>
      <c r="H18" s="328"/>
      <c r="I18" s="328"/>
      <c r="J18" s="329">
        <f t="shared" si="3"/>
        <v>64</v>
      </c>
      <c r="K18" s="328">
        <v>121</v>
      </c>
      <c r="L18" s="328"/>
      <c r="M18" s="328">
        <v>119</v>
      </c>
      <c r="N18" s="329">
        <f t="shared" si="4"/>
        <v>2</v>
      </c>
      <c r="O18" s="328"/>
      <c r="P18" s="328"/>
      <c r="Q18" s="329">
        <f t="shared" si="0"/>
        <v>2</v>
      </c>
      <c r="R18" s="340">
        <f t="shared" si="1"/>
        <v>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799</v>
      </c>
      <c r="E19" s="330">
        <f>SUM(E11:E18)</f>
        <v>172</v>
      </c>
      <c r="F19" s="330">
        <f>SUM(F11:F18)</f>
        <v>353</v>
      </c>
      <c r="G19" s="329">
        <f t="shared" si="2"/>
        <v>618</v>
      </c>
      <c r="H19" s="330">
        <f>SUM(H11:H18)</f>
        <v>708</v>
      </c>
      <c r="I19" s="330">
        <f>SUM(I11:I18)</f>
        <v>0</v>
      </c>
      <c r="J19" s="329">
        <f t="shared" si="3"/>
        <v>1326</v>
      </c>
      <c r="K19" s="330">
        <f>SUM(K11:K18)</f>
        <v>662</v>
      </c>
      <c r="L19" s="330">
        <f>SUM(L11:L18)</f>
        <v>73</v>
      </c>
      <c r="M19" s="330">
        <f>SUM(M11:M18)</f>
        <v>237</v>
      </c>
      <c r="N19" s="329">
        <f t="shared" si="4"/>
        <v>498</v>
      </c>
      <c r="O19" s="330">
        <f>SUM(O11:O18)</f>
        <v>0</v>
      </c>
      <c r="P19" s="330">
        <f>SUM(P11:P18)</f>
        <v>0</v>
      </c>
      <c r="Q19" s="329">
        <f t="shared" si="0"/>
        <v>498</v>
      </c>
      <c r="R19" s="340">
        <f t="shared" si="1"/>
        <v>828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</v>
      </c>
      <c r="E27" s="328"/>
      <c r="F27" s="328"/>
      <c r="G27" s="329">
        <f t="shared" si="2"/>
        <v>27</v>
      </c>
      <c r="H27" s="328"/>
      <c r="I27" s="328"/>
      <c r="J27" s="329">
        <f t="shared" si="3"/>
        <v>27</v>
      </c>
      <c r="K27" s="328">
        <v>7</v>
      </c>
      <c r="L27" s="328">
        <v>2</v>
      </c>
      <c r="M27" s="328"/>
      <c r="N27" s="329">
        <f t="shared" si="4"/>
        <v>9</v>
      </c>
      <c r="O27" s="328"/>
      <c r="P27" s="328"/>
      <c r="Q27" s="329">
        <f t="shared" si="0"/>
        <v>9</v>
      </c>
      <c r="R27" s="340">
        <f t="shared" si="1"/>
        <v>18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36</v>
      </c>
      <c r="H28" s="332">
        <f t="shared" si="5"/>
        <v>0</v>
      </c>
      <c r="I28" s="332">
        <f t="shared" si="5"/>
        <v>0</v>
      </c>
      <c r="J28" s="333">
        <f t="shared" si="3"/>
        <v>36</v>
      </c>
      <c r="K28" s="332">
        <f t="shared" si="5"/>
        <v>16</v>
      </c>
      <c r="L28" s="332">
        <f t="shared" si="5"/>
        <v>2</v>
      </c>
      <c r="M28" s="332">
        <f t="shared" si="5"/>
        <v>0</v>
      </c>
      <c r="N28" s="333">
        <f t="shared" si="4"/>
        <v>18</v>
      </c>
      <c r="O28" s="332">
        <f t="shared" si="5"/>
        <v>0</v>
      </c>
      <c r="P28" s="332">
        <f t="shared" si="5"/>
        <v>0</v>
      </c>
      <c r="Q28" s="333">
        <f t="shared" si="0"/>
        <v>18</v>
      </c>
      <c r="R28" s="343">
        <f t="shared" si="1"/>
        <v>18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194138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194138</v>
      </c>
      <c r="H30" s="335">
        <f t="shared" si="6"/>
        <v>0</v>
      </c>
      <c r="I30" s="335">
        <f t="shared" si="6"/>
        <v>0</v>
      </c>
      <c r="J30" s="336">
        <f t="shared" si="3"/>
        <v>194138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194138</v>
      </c>
    </row>
    <row r="31" spans="1:18" ht="15.75">
      <c r="A31" s="339"/>
      <c r="B31" s="321" t="s">
        <v>108</v>
      </c>
      <c r="C31" s="152" t="s">
        <v>563</v>
      </c>
      <c r="D31" s="328">
        <v>194138</v>
      </c>
      <c r="E31" s="328"/>
      <c r="F31" s="328"/>
      <c r="G31" s="329">
        <f t="shared" si="2"/>
        <v>194138</v>
      </c>
      <c r="H31" s="328"/>
      <c r="I31" s="328"/>
      <c r="J31" s="329">
        <f t="shared" si="3"/>
        <v>194138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194138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194138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194138</v>
      </c>
      <c r="H41" s="330">
        <f t="shared" si="10"/>
        <v>0</v>
      </c>
      <c r="I41" s="330">
        <f t="shared" si="10"/>
        <v>0</v>
      </c>
      <c r="J41" s="329">
        <f t="shared" si="3"/>
        <v>194138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194138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194973</v>
      </c>
      <c r="E43" s="349">
        <f>E19+E20+E22+E28+E41+E42</f>
        <v>172</v>
      </c>
      <c r="F43" s="349">
        <f aca="true" t="shared" si="11" ref="F43:R43">F19+F20+F22+F28+F41+F42</f>
        <v>353</v>
      </c>
      <c r="G43" s="349">
        <f t="shared" si="11"/>
        <v>194792</v>
      </c>
      <c r="H43" s="349">
        <f t="shared" si="11"/>
        <v>708</v>
      </c>
      <c r="I43" s="349">
        <f t="shared" si="11"/>
        <v>0</v>
      </c>
      <c r="J43" s="349">
        <f t="shared" si="11"/>
        <v>195500</v>
      </c>
      <c r="K43" s="349">
        <f t="shared" si="11"/>
        <v>678</v>
      </c>
      <c r="L43" s="349">
        <f t="shared" si="11"/>
        <v>75</v>
      </c>
      <c r="M43" s="349">
        <f t="shared" si="11"/>
        <v>237</v>
      </c>
      <c r="N43" s="349">
        <f t="shared" si="11"/>
        <v>516</v>
      </c>
      <c r="O43" s="349">
        <f t="shared" si="11"/>
        <v>0</v>
      </c>
      <c r="P43" s="349">
        <f t="shared" si="11"/>
        <v>0</v>
      </c>
      <c r="Q43" s="349">
        <f t="shared" si="11"/>
        <v>516</v>
      </c>
      <c r="R43" s="350">
        <f t="shared" si="11"/>
        <v>194984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1017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3">
      <selection activeCell="D46" sqref="D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46842</v>
      </c>
      <c r="D13" s="362">
        <f>SUM(D14:D16)</f>
        <v>1055</v>
      </c>
      <c r="E13" s="369">
        <f>SUM(E14:E16)</f>
        <v>45787</v>
      </c>
      <c r="F13" s="133"/>
    </row>
    <row r="14" spans="1:6" ht="15.75">
      <c r="A14" s="370" t="s">
        <v>596</v>
      </c>
      <c r="B14" s="135" t="s">
        <v>597</v>
      </c>
      <c r="C14" s="368">
        <v>46842</v>
      </c>
      <c r="D14" s="368">
        <v>1055</v>
      </c>
      <c r="E14" s="369">
        <f aca="true" t="shared" si="0" ref="E14:E44">C14-D14</f>
        <v>45787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6-6</f>
        <v>0</v>
      </c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46842</v>
      </c>
      <c r="D21" s="440">
        <f>D13+D17+D18</f>
        <v>1055</v>
      </c>
      <c r="E21" s="441">
        <f>E13+E17+E18</f>
        <v>45787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</v>
      </c>
      <c r="D23" s="443"/>
      <c r="E23" s="442">
        <f t="shared" si="0"/>
        <v>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3894</v>
      </c>
      <c r="D26" s="362">
        <f>SUM(D27:D29)</f>
        <v>3894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3894</v>
      </c>
      <c r="D29" s="368">
        <v>3894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</v>
      </c>
      <c r="D31" s="368">
        <v>13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228</v>
      </c>
      <c r="D40" s="362">
        <f>SUM(D41:D44)</f>
        <v>228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222+6</f>
        <v>228</v>
      </c>
      <c r="D44" s="368">
        <f>222+6</f>
        <v>228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4135</v>
      </c>
      <c r="D45" s="438">
        <f>D26+D30+D31+D33+D32+D34+D35+D40</f>
        <v>4135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50982</v>
      </c>
      <c r="D46" s="444">
        <f>D45+D23+D21+D11</f>
        <v>5190</v>
      </c>
      <c r="E46" s="445">
        <f>E45+E23+E21+E11</f>
        <v>45792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605</v>
      </c>
      <c r="D54" s="138">
        <f>SUM(D55:D57)</f>
        <v>14</v>
      </c>
      <c r="E54" s="136">
        <f>C54-D54</f>
        <v>591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605</v>
      </c>
      <c r="D55" s="197">
        <v>14</v>
      </c>
      <c r="E55" s="136">
        <f>C55-D55</f>
        <v>591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11624</v>
      </c>
      <c r="D58" s="138">
        <f>D59+D61</f>
        <v>1311</v>
      </c>
      <c r="E58" s="136">
        <f t="shared" si="1"/>
        <v>10313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11624</v>
      </c>
      <c r="D59" s="197">
        <v>1311</v>
      </c>
      <c r="E59" s="136">
        <f t="shared" si="1"/>
        <v>10313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45+684</f>
        <v>729</v>
      </c>
      <c r="D66" s="197">
        <v>65</v>
      </c>
      <c r="E66" s="136">
        <f t="shared" si="1"/>
        <v>664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12958</v>
      </c>
      <c r="D68" s="435">
        <f>D54+D58+D63+D64+D65+D66</f>
        <v>1390</v>
      </c>
      <c r="E68" s="436">
        <f t="shared" si="1"/>
        <v>11568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</v>
      </c>
      <c r="D87" s="134">
        <f>SUM(D88:D92)+D96</f>
        <v>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</v>
      </c>
      <c r="D98" s="433">
        <f>D87+D82+D77+D73+D97</f>
        <v>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12982</v>
      </c>
      <c r="D99" s="427">
        <f>D98+D70+D68</f>
        <v>1414</v>
      </c>
      <c r="E99" s="427">
        <f>E98+E70+E68</f>
        <v>11568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45</v>
      </c>
      <c r="D104" s="216"/>
      <c r="E104" s="216"/>
      <c r="F104" s="421">
        <f>C104+D104-E104</f>
        <v>45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45</v>
      </c>
      <c r="D107" s="425">
        <f>SUM(D104:D106)</f>
        <v>0</v>
      </c>
      <c r="E107" s="425">
        <f>SUM(E104:E106)</f>
        <v>0</v>
      </c>
      <c r="F107" s="426">
        <f>SUM(F104:F106)</f>
        <v>45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1017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>
        <v>11704</v>
      </c>
      <c r="G24" s="449"/>
      <c r="H24" s="449"/>
      <c r="I24" s="450">
        <f t="shared" si="0"/>
        <v>11704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11704</v>
      </c>
      <c r="G27" s="456">
        <f t="shared" si="2"/>
        <v>0</v>
      </c>
      <c r="H27" s="456">
        <f t="shared" si="2"/>
        <v>0</v>
      </c>
      <c r="I27" s="457">
        <f t="shared" si="0"/>
        <v>11704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1017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1021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1022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2023-07-17T13:12:50Z</cp:lastPrinted>
  <dcterms:created xsi:type="dcterms:W3CDTF">2006-09-16T00:00:00Z</dcterms:created>
  <dcterms:modified xsi:type="dcterms:W3CDTF">2023-07-27T06:31:30Z</dcterms:modified>
  <cp:category/>
  <cp:version/>
  <cp:contentType/>
  <cp:contentStatus/>
</cp:coreProperties>
</file>